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<sst xmlns="http://schemas.openxmlformats.org/spreadsheetml/2006/main" count="76" uniqueCount="76">
  <si>
    <t>ОАО «Мордовская энергосбытовая компания» (мВт*ч)</t>
  </si>
  <si>
    <t>ООО «Горсвет
Электросбыт»(мВт*ч)</t>
  </si>
  <si>
    <t>Итого
МВт ч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</si>
  <si>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</si>
  <si>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</si>
  <si>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</si>
  <si>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</si>
  <si>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</si>
  <si>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</si>
  <si>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</si>
  <si>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</si>
  <si>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</si>
  <si>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</si>
  <si>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</si>
  <si>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</si>
  <si>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</si>
  <si>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</si>
  <si>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</si>
  <si>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</si>
  <si>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</si>
  <si>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</si>
  <si>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</si>
  <si>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</si>
  <si>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</si>
  <si>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</si>
  <si>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</si>
  <si>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</si>
  <si>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Январь 2015</t>
  </si>
  <si>
    <t>Февраль 2015</t>
  </si>
  <si>
    <t>Март 2015</t>
  </si>
  <si>
    <t>Апрель 2015</t>
  </si>
  <si>
    <t>Май 2015</t>
  </si>
  <si>
    <t>Июнь 2015</t>
  </si>
  <si>
    <t>Июль 2015</t>
  </si>
  <si>
    <t>Август 2015</t>
  </si>
  <si>
    <t>Сентябрь 2015</t>
  </si>
  <si>
    <t>Октябрь 2015</t>
  </si>
  <si>
    <t>Ноябрь 2015</t>
  </si>
  <si>
    <t>Декабрь 2015</t>
  </si>
  <si>
    <t>ООО «Горсвет
Электросбыт» (тыс.руб.) с НДС</t>
  </si>
  <si>
    <t>ООО «Ватт-Электросбыт (мВт*ч) (бесхоз+ТП-54)</t>
  </si>
  <si>
    <t>ООО «Ватт-Электросбыт (тыс.руб.) с НДС (бесхоз+ТП-54)</t>
  </si>
  <si>
    <t xml:space="preserve">ООО «Ватт-Электросбыт (мВт*ч) 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</si>
  <si>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</si>
  <si>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</si>
  <si>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</si>
  <si>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</si>
  <si>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</si>
  <si>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</si>
  <si>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</si>
  <si>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</si>
  <si>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</si>
  <si>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</si>
  <si>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</si>
  <si>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</si>
  <si>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ОАО «Мордовская энергосбытовая компания» (руб. с НДС)</t>
  </si>
  <si>
    <t>ООО «Ватт-Электросбыт  (руб. с НДС)</t>
  </si>
  <si>
    <t>Итого
 (руб. с НДС)</t>
  </si>
  <si>
    <t>Январь 2018</t>
  </si>
  <si>
    <t>Март 2018</t>
  </si>
  <si>
    <t>Февраль 2018</t>
  </si>
  <si>
    <t>Апрель 2018</t>
  </si>
  <si>
    <t xml:space="preserve">Май 2018 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</si>
  <si>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</si>
  <si>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</si>
  <si>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</si>
  <si>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</si>
  <si>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</si>
  <si>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</si>
  <si>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</si>
  <si>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Итого за 2018 г.</t>
  </si>
  <si>
    <t>Итого за 2017 г.</t>
  </si>
  <si>
    <t>Итого за 2016 г.</t>
  </si>
  <si>
    <t>Итого за 2015 г.</t>
  </si>
  <si>
    <t>Итого за 2014 г.</t>
  </si>
  <si>
    <t>Итого за 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</si>
</sst>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.000"/>
    <numFmt numFmtId="166" formatCode="#.000"/>
    <numFmt numFmtId="167" formatCode="0.0000"/>
    <numFmt numFmtId="168" formatCode="0.00000"/>
    <numFmt numFmtId="169" formatCode="0.0"/>
    <numFmt numFmtId="170" formatCode="[$-FC19]d\ mmmm\ yyyy\ &quot;г.&quot;"/>
    <numFmt numFmtId="171" formatCode="[$-419]mmmm\ yyyy;@"/>
    <numFmt numFmtId="172" formatCode="#,##0.00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1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D78" sqref="D78"/>
    </sheetView>
  </sheetViews>
  <sheetFormatPr defaultColWidth="11.57421875" defaultRowHeight="12.75"/>
  <cols>
    <col min="1" max="1" width="21.8515625" style="0" customWidth="1"/>
    <col min="2" max="3" width="15.7109375" style="0" hidden="1" customWidth="1"/>
    <col min="4" max="4" width="16.57421875" style="0" customWidth="1"/>
    <col min="5" max="5" width="16.421875" style="0" customWidth="1"/>
    <col min="6" max="6" width="0.13671875" style="0" hidden="1" customWidth="1"/>
    <col min="7" max="7" width="15.7109375" style="0" hidden="1" customWidth="1"/>
    <col min="8" max="11" width="15.7109375" style="0" customWidth="1"/>
  </cols>
  <sheetData>
    <row r="1" spans="1:11" s="7" customFormat="1" ht="75" customHeight="1">
      <c r="A1" s="5"/>
      <c r="B1" s="6" t="s">
        <v>40</v>
      </c>
      <c r="C1" s="6" t="s">
        <v>41</v>
      </c>
      <c r="D1" s="6" t="s">
        <v>0</v>
      </c>
      <c r="E1" s="6" t="s">
        <v>55</v>
      </c>
      <c r="F1" s="6" t="s">
        <v>1</v>
      </c>
      <c r="G1" s="6" t="s">
        <v>39</v>
      </c>
      <c r="H1" s="6" t="s">
        <v>42</v>
      </c>
      <c r="I1" s="6" t="s">
        <v>56</v>
      </c>
      <c r="J1" s="6" t="s">
        <v>2</v>
      </c>
      <c r="K1" s="6" t="s">
        <v>57</v>
      </c>
    </row>
    <row r="2" spans="1:11" ht="12.75">
      <c r="A2" s="1" t="s">
        <v>3</v>
      </c>
      <c r="B2" s="2">
        <v>263.264</v>
      </c>
      <c r="C2" s="2">
        <v>397.1835</v>
      </c>
      <c r="D2" s="2">
        <v>172.728</v>
      </c>
      <c r="E2" s="2">
        <v>297.12409</v>
      </c>
      <c r="F2" s="2">
        <v>1.782</v>
      </c>
      <c r="G2" s="2">
        <v>2.68849</v>
      </c>
      <c r="H2" s="2">
        <f aca="true" t="shared" si="0" ref="H2:H40">B2+F2</f>
        <v>265.046</v>
      </c>
      <c r="I2" s="2">
        <f aca="true" t="shared" si="1" ref="I2:I39">C2+G2</f>
        <v>399.87199</v>
      </c>
      <c r="J2" s="2">
        <f aca="true" t="shared" si="2" ref="J2:J40">D2+H2</f>
        <v>437.774</v>
      </c>
      <c r="K2" s="2">
        <f aca="true" t="shared" si="3" ref="K2:K40">E2+I2</f>
        <v>696.99608</v>
      </c>
    </row>
    <row r="3" spans="1:11" ht="12.75">
      <c r="A3" s="1" t="s">
        <v>4</v>
      </c>
      <c r="B3" s="2">
        <v>229.472</v>
      </c>
      <c r="C3" s="2">
        <v>372.3508</v>
      </c>
      <c r="D3" s="2">
        <v>236.477</v>
      </c>
      <c r="E3" s="2">
        <v>453.15723</v>
      </c>
      <c r="F3" s="2">
        <v>5.425</v>
      </c>
      <c r="G3" s="2">
        <v>8.80284</v>
      </c>
      <c r="H3" s="2">
        <f t="shared" si="0"/>
        <v>234.89700000000002</v>
      </c>
      <c r="I3" s="2">
        <f t="shared" si="1"/>
        <v>381.15364</v>
      </c>
      <c r="J3" s="2">
        <f t="shared" si="2"/>
        <v>471.374</v>
      </c>
      <c r="K3" s="2">
        <f t="shared" si="3"/>
        <v>834.31087</v>
      </c>
    </row>
    <row r="4" spans="1:11" ht="12.75">
      <c r="A4" s="1" t="s">
        <v>5</v>
      </c>
      <c r="B4" s="2">
        <v>238.891</v>
      </c>
      <c r="C4" s="2">
        <v>397.83049</v>
      </c>
      <c r="D4" s="2">
        <v>272.813</v>
      </c>
      <c r="E4" s="2">
        <v>532.10039</v>
      </c>
      <c r="F4" s="2">
        <v>2.629</v>
      </c>
      <c r="G4" s="2">
        <v>4.37813</v>
      </c>
      <c r="H4" s="2">
        <f t="shared" si="0"/>
        <v>241.51999999999998</v>
      </c>
      <c r="I4" s="2">
        <f t="shared" si="1"/>
        <v>402.20862</v>
      </c>
      <c r="J4" s="2">
        <f t="shared" si="2"/>
        <v>514.333</v>
      </c>
      <c r="K4" s="2">
        <f t="shared" si="3"/>
        <v>934.30901</v>
      </c>
    </row>
    <row r="5" spans="1:11" ht="12.75">
      <c r="A5" s="1" t="s">
        <v>6</v>
      </c>
      <c r="B5" s="2">
        <v>213.529</v>
      </c>
      <c r="C5" s="2">
        <v>349.46429</v>
      </c>
      <c r="D5" s="2">
        <v>124.327</v>
      </c>
      <c r="E5" s="2">
        <v>231.54159</v>
      </c>
      <c r="F5" s="2">
        <v>1.691</v>
      </c>
      <c r="G5" s="2">
        <v>2.76751</v>
      </c>
      <c r="H5" s="2">
        <f t="shared" si="0"/>
        <v>215.22</v>
      </c>
      <c r="I5" s="2">
        <f t="shared" si="1"/>
        <v>352.2318</v>
      </c>
      <c r="J5" s="2">
        <f t="shared" si="2"/>
        <v>339.547</v>
      </c>
      <c r="K5" s="2">
        <f t="shared" si="3"/>
        <v>583.7733900000001</v>
      </c>
    </row>
    <row r="6" spans="1:11" ht="12.75">
      <c r="A6" s="1" t="s">
        <v>7</v>
      </c>
      <c r="B6" s="2">
        <v>199.506</v>
      </c>
      <c r="C6" s="2">
        <v>339.70921</v>
      </c>
      <c r="D6" s="2">
        <v>168.702</v>
      </c>
      <c r="E6" s="2">
        <v>324.90981</v>
      </c>
      <c r="F6" s="2">
        <v>1.101</v>
      </c>
      <c r="G6" s="2">
        <v>1.87471</v>
      </c>
      <c r="H6" s="2">
        <f t="shared" si="0"/>
        <v>200.607</v>
      </c>
      <c r="I6" s="2">
        <f t="shared" si="1"/>
        <v>341.58392</v>
      </c>
      <c r="J6" s="2">
        <f t="shared" si="2"/>
        <v>369.30899999999997</v>
      </c>
      <c r="K6" s="2">
        <f t="shared" si="3"/>
        <v>666.4937299999999</v>
      </c>
    </row>
    <row r="7" spans="1:11" ht="12.75">
      <c r="A7" s="1" t="s">
        <v>8</v>
      </c>
      <c r="B7" s="2">
        <v>202.359</v>
      </c>
      <c r="C7" s="2">
        <v>358.83447</v>
      </c>
      <c r="D7" s="2">
        <v>6.505</v>
      </c>
      <c r="E7" s="2">
        <v>13.11657</v>
      </c>
      <c r="F7" s="2">
        <v>0.481</v>
      </c>
      <c r="G7" s="2">
        <v>0.8529500000000001</v>
      </c>
      <c r="H7" s="2">
        <f t="shared" si="0"/>
        <v>202.84</v>
      </c>
      <c r="I7" s="2">
        <f t="shared" si="1"/>
        <v>359.68742000000003</v>
      </c>
      <c r="J7" s="2">
        <f t="shared" si="2"/>
        <v>209.345</v>
      </c>
      <c r="K7" s="2">
        <f t="shared" si="3"/>
        <v>372.80399000000006</v>
      </c>
    </row>
    <row r="8" spans="1:11" ht="12.75">
      <c r="A8" s="1" t="s">
        <v>9</v>
      </c>
      <c r="B8" s="2">
        <v>193.324</v>
      </c>
      <c r="C8" s="2">
        <v>385.35335</v>
      </c>
      <c r="D8" s="2">
        <v>59.443</v>
      </c>
      <c r="E8" s="2">
        <v>127.46216</v>
      </c>
      <c r="F8" s="2">
        <v>22.208</v>
      </c>
      <c r="G8" s="2">
        <v>44.26728</v>
      </c>
      <c r="H8" s="2">
        <f t="shared" si="0"/>
        <v>215.532</v>
      </c>
      <c r="I8" s="2">
        <f t="shared" si="1"/>
        <v>429.62063</v>
      </c>
      <c r="J8" s="2">
        <f t="shared" si="2"/>
        <v>274.975</v>
      </c>
      <c r="K8" s="2">
        <f t="shared" si="3"/>
        <v>557.08279</v>
      </c>
    </row>
    <row r="9" spans="1:11" ht="12.75">
      <c r="A9" s="1" t="s">
        <v>10</v>
      </c>
      <c r="B9" s="2">
        <v>205.567</v>
      </c>
      <c r="C9" s="2">
        <v>423.34365</v>
      </c>
      <c r="D9" s="2">
        <v>89.324</v>
      </c>
      <c r="E9" s="2">
        <v>198.29315</v>
      </c>
      <c r="F9" s="2">
        <v>25.48</v>
      </c>
      <c r="G9" s="2">
        <v>52.4734</v>
      </c>
      <c r="H9" s="2">
        <f t="shared" si="0"/>
        <v>231.047</v>
      </c>
      <c r="I9" s="2">
        <f t="shared" si="1"/>
        <v>475.81705</v>
      </c>
      <c r="J9" s="2">
        <f t="shared" si="2"/>
        <v>320.371</v>
      </c>
      <c r="K9" s="2">
        <f t="shared" si="3"/>
        <v>674.1102</v>
      </c>
    </row>
    <row r="10" spans="1:11" ht="12.75">
      <c r="A10" s="1" t="s">
        <v>11</v>
      </c>
      <c r="B10" s="2">
        <v>226.706</v>
      </c>
      <c r="C10" s="2">
        <v>461.73024</v>
      </c>
      <c r="D10" s="2">
        <v>174.908</v>
      </c>
      <c r="E10" s="2">
        <v>388.35281</v>
      </c>
      <c r="F10" s="2">
        <v>26.395</v>
      </c>
      <c r="G10" s="2">
        <v>53.75849</v>
      </c>
      <c r="H10" s="2">
        <f t="shared" si="0"/>
        <v>253.101</v>
      </c>
      <c r="I10" s="2">
        <f t="shared" si="1"/>
        <v>515.48873</v>
      </c>
      <c r="J10" s="2">
        <f t="shared" si="2"/>
        <v>428.009</v>
      </c>
      <c r="K10" s="2">
        <f t="shared" si="3"/>
        <v>903.84154</v>
      </c>
    </row>
    <row r="11" spans="1:11" ht="12.75">
      <c r="A11" s="1" t="s">
        <v>12</v>
      </c>
      <c r="B11" s="2">
        <v>268.93</v>
      </c>
      <c r="C11" s="2">
        <v>554.66452</v>
      </c>
      <c r="D11" s="2">
        <v>35.062</v>
      </c>
      <c r="E11" s="2">
        <v>78.38393</v>
      </c>
      <c r="F11" s="2">
        <v>25.004</v>
      </c>
      <c r="G11" s="2">
        <v>51.57041</v>
      </c>
      <c r="H11" s="2">
        <f t="shared" si="0"/>
        <v>293.934</v>
      </c>
      <c r="I11" s="2">
        <f t="shared" si="1"/>
        <v>606.2349300000001</v>
      </c>
      <c r="J11" s="2">
        <f t="shared" si="2"/>
        <v>328.99600000000004</v>
      </c>
      <c r="K11" s="2">
        <f t="shared" si="3"/>
        <v>684.61886</v>
      </c>
    </row>
    <row r="12" spans="1:11" ht="12.75">
      <c r="A12" s="1" t="s">
        <v>13</v>
      </c>
      <c r="B12" s="2">
        <v>246.523</v>
      </c>
      <c r="C12" s="2">
        <v>496.63206</v>
      </c>
      <c r="D12" s="2">
        <v>88.737</v>
      </c>
      <c r="E12" s="2">
        <v>193.04901</v>
      </c>
      <c r="F12" s="2">
        <v>32.541</v>
      </c>
      <c r="G12" s="2">
        <v>65.56948</v>
      </c>
      <c r="H12" s="2">
        <f t="shared" si="0"/>
        <v>279.06399999999996</v>
      </c>
      <c r="I12" s="2">
        <f t="shared" si="1"/>
        <v>562.20154</v>
      </c>
      <c r="J12" s="2">
        <f t="shared" si="2"/>
        <v>367.80099999999993</v>
      </c>
      <c r="K12" s="2">
        <f t="shared" si="3"/>
        <v>755.25055</v>
      </c>
    </row>
    <row r="13" spans="1:11" ht="12.75">
      <c r="A13" s="1" t="s">
        <v>14</v>
      </c>
      <c r="B13" s="2">
        <v>264.55</v>
      </c>
      <c r="C13" s="2">
        <v>521.19737</v>
      </c>
      <c r="D13" s="2">
        <v>210.815</v>
      </c>
      <c r="E13" s="2">
        <v>449.36805</v>
      </c>
      <c r="F13" s="2">
        <v>19.94</v>
      </c>
      <c r="G13" s="2">
        <v>39.28438</v>
      </c>
      <c r="H13" s="2">
        <f t="shared" si="0"/>
        <v>284.49</v>
      </c>
      <c r="I13" s="2">
        <f t="shared" si="1"/>
        <v>560.4817499999999</v>
      </c>
      <c r="J13" s="2">
        <f t="shared" si="2"/>
        <v>495.305</v>
      </c>
      <c r="K13" s="2">
        <f t="shared" si="3"/>
        <v>1009.8498</v>
      </c>
    </row>
    <row r="14" spans="1:11" s="19" customFormat="1" ht="25.5" customHeight="1">
      <c r="A14" s="15" t="s">
        <v>75</v>
      </c>
      <c r="B14" s="16">
        <f aca="true" t="shared" si="4" ref="B14:G14">B2+B3+B4+B5+B6+B7+B8+B9+B10+B11+B12+B13</f>
        <v>2752.621</v>
      </c>
      <c r="C14" s="16">
        <f t="shared" si="4"/>
        <v>5058.29395</v>
      </c>
      <c r="D14" s="16">
        <f t="shared" si="4"/>
        <v>1639.8410000000001</v>
      </c>
      <c r="E14" s="16">
        <f t="shared" si="4"/>
        <v>3286.85879</v>
      </c>
      <c r="F14" s="16">
        <f t="shared" si="4"/>
        <v>164.677</v>
      </c>
      <c r="G14" s="16">
        <f t="shared" si="4"/>
        <v>328.28807</v>
      </c>
      <c r="H14" s="16">
        <f t="shared" si="0"/>
        <v>2917.2980000000002</v>
      </c>
      <c r="I14" s="16">
        <f t="shared" si="1"/>
        <v>5386.58202</v>
      </c>
      <c r="J14" s="16">
        <f t="shared" si="2"/>
        <v>4557.139</v>
      </c>
      <c r="K14" s="16">
        <f t="shared" si="3"/>
        <v>8673.44081</v>
      </c>
    </row>
    <row r="15" spans="1:11" ht="12.75">
      <c r="A15" s="1" t="s">
        <v>15</v>
      </c>
      <c r="B15" s="2">
        <v>285.14</v>
      </c>
      <c r="C15" s="2">
        <v>558.72065</v>
      </c>
      <c r="D15" s="2">
        <v>431.998</v>
      </c>
      <c r="E15" s="2">
        <v>884.91478</v>
      </c>
      <c r="F15" s="2">
        <v>18.472</v>
      </c>
      <c r="G15" s="2">
        <v>36.19515</v>
      </c>
      <c r="H15" s="2">
        <f t="shared" si="0"/>
        <v>303.61199999999997</v>
      </c>
      <c r="I15" s="2">
        <f t="shared" si="1"/>
        <v>594.9158</v>
      </c>
      <c r="J15" s="2">
        <f t="shared" si="2"/>
        <v>735.6099999999999</v>
      </c>
      <c r="K15" s="2">
        <f t="shared" si="3"/>
        <v>1479.8305799999998</v>
      </c>
    </row>
    <row r="16" spans="1:11" ht="12.75">
      <c r="A16" s="1" t="s">
        <v>16</v>
      </c>
      <c r="B16" s="2">
        <v>251.421</v>
      </c>
      <c r="C16" s="2">
        <v>475.67078</v>
      </c>
      <c r="D16" s="2">
        <v>255.56</v>
      </c>
      <c r="E16" s="2">
        <v>505.89449</v>
      </c>
      <c r="F16" s="2">
        <v>29.879</v>
      </c>
      <c r="G16" s="2">
        <v>56.52894</v>
      </c>
      <c r="H16" s="2">
        <f t="shared" si="0"/>
        <v>281.3</v>
      </c>
      <c r="I16" s="2">
        <f t="shared" si="1"/>
        <v>532.19972</v>
      </c>
      <c r="J16" s="2">
        <f t="shared" si="2"/>
        <v>536.86</v>
      </c>
      <c r="K16" s="2">
        <f t="shared" si="3"/>
        <v>1038.09421</v>
      </c>
    </row>
    <row r="17" spans="1:11" ht="12.75">
      <c r="A17" s="1" t="s">
        <v>17</v>
      </c>
      <c r="B17" s="2">
        <v>240.448</v>
      </c>
      <c r="C17" s="2">
        <v>464.62551</v>
      </c>
      <c r="D17" s="2">
        <v>230.571</v>
      </c>
      <c r="E17" s="2">
        <v>489.65704</v>
      </c>
      <c r="F17" s="2">
        <v>31.948</v>
      </c>
      <c r="G17" s="2">
        <v>61.9337</v>
      </c>
      <c r="H17" s="2">
        <f t="shared" si="0"/>
        <v>272.396</v>
      </c>
      <c r="I17" s="2">
        <f t="shared" si="1"/>
        <v>526.55921</v>
      </c>
      <c r="J17" s="2">
        <f t="shared" si="2"/>
        <v>502.967</v>
      </c>
      <c r="K17" s="2">
        <f t="shared" si="3"/>
        <v>1016.21625</v>
      </c>
    </row>
    <row r="18" spans="1:11" ht="12.75">
      <c r="A18" s="1" t="s">
        <v>18</v>
      </c>
      <c r="B18" s="2">
        <v>274.141</v>
      </c>
      <c r="C18" s="2">
        <v>552.03598</v>
      </c>
      <c r="D18" s="2">
        <v>288.155</v>
      </c>
      <c r="E18" s="2">
        <v>603.05818</v>
      </c>
      <c r="F18" s="2">
        <v>3.024</v>
      </c>
      <c r="G18" s="2">
        <v>6.0894</v>
      </c>
      <c r="H18" s="2">
        <f t="shared" si="0"/>
        <v>277.165</v>
      </c>
      <c r="I18" s="2">
        <f t="shared" si="1"/>
        <v>558.12538</v>
      </c>
      <c r="J18" s="2">
        <f t="shared" si="2"/>
        <v>565.3199999999999</v>
      </c>
      <c r="K18" s="2">
        <f t="shared" si="3"/>
        <v>1161.18356</v>
      </c>
    </row>
    <row r="19" spans="1:11" ht="12.75">
      <c r="A19" s="1" t="s">
        <v>19</v>
      </c>
      <c r="B19" s="2">
        <v>245.093</v>
      </c>
      <c r="C19" s="2">
        <v>521.94842</v>
      </c>
      <c r="D19" s="2">
        <v>297.061</v>
      </c>
      <c r="E19" s="2">
        <v>627.65642</v>
      </c>
      <c r="F19" s="2">
        <v>37.34</v>
      </c>
      <c r="G19" s="2">
        <v>79.56006</v>
      </c>
      <c r="H19" s="2">
        <f t="shared" si="0"/>
        <v>282.433</v>
      </c>
      <c r="I19" s="2">
        <f t="shared" si="1"/>
        <v>601.5084800000001</v>
      </c>
      <c r="J19" s="2">
        <f t="shared" si="2"/>
        <v>579.4939999999999</v>
      </c>
      <c r="K19" s="2">
        <f t="shared" si="3"/>
        <v>1229.1649000000002</v>
      </c>
    </row>
    <row r="20" spans="1:11" ht="12.75">
      <c r="A20" s="1" t="s">
        <v>20</v>
      </c>
      <c r="B20" s="2">
        <v>180.762</v>
      </c>
      <c r="C20" s="2">
        <v>392.55577</v>
      </c>
      <c r="D20" s="2">
        <v>108.704</v>
      </c>
      <c r="E20" s="2">
        <v>237.35878</v>
      </c>
      <c r="F20" s="2">
        <v>4.146</v>
      </c>
      <c r="G20" s="2">
        <v>9.00374</v>
      </c>
      <c r="H20" s="2">
        <f t="shared" si="0"/>
        <v>184.908</v>
      </c>
      <c r="I20" s="2">
        <f t="shared" si="1"/>
        <v>401.55951</v>
      </c>
      <c r="J20" s="2">
        <f t="shared" si="2"/>
        <v>293.61199999999997</v>
      </c>
      <c r="K20" s="2">
        <f t="shared" si="3"/>
        <v>638.91829</v>
      </c>
    </row>
    <row r="21" spans="1:11" ht="12.75">
      <c r="A21" s="1" t="s">
        <v>21</v>
      </c>
      <c r="B21" s="2">
        <v>175.138</v>
      </c>
      <c r="C21" s="2">
        <v>376.494233</v>
      </c>
      <c r="D21" s="2">
        <v>249.201</v>
      </c>
      <c r="E21" s="2">
        <v>638.58008</v>
      </c>
      <c r="F21" s="2">
        <v>25.065</v>
      </c>
      <c r="G21" s="2">
        <v>53.88226</v>
      </c>
      <c r="H21" s="2">
        <f t="shared" si="0"/>
        <v>200.203</v>
      </c>
      <c r="I21" s="2">
        <f t="shared" si="1"/>
        <v>430.376493</v>
      </c>
      <c r="J21" s="2">
        <f t="shared" si="2"/>
        <v>449.404</v>
      </c>
      <c r="K21" s="2">
        <f t="shared" si="3"/>
        <v>1068.956573</v>
      </c>
    </row>
    <row r="22" spans="1:11" ht="12.75">
      <c r="A22" s="1" t="s">
        <v>22</v>
      </c>
      <c r="B22" s="2">
        <v>188.604</v>
      </c>
      <c r="C22" s="2">
        <v>398.54964</v>
      </c>
      <c r="D22" s="2">
        <v>175.759</v>
      </c>
      <c r="E22" s="2">
        <v>376.26072</v>
      </c>
      <c r="F22" s="2">
        <v>39.918</v>
      </c>
      <c r="G22" s="2">
        <v>84.35296</v>
      </c>
      <c r="H22" s="2">
        <f t="shared" si="0"/>
        <v>228.52200000000002</v>
      </c>
      <c r="I22" s="2">
        <f t="shared" si="1"/>
        <v>482.9026</v>
      </c>
      <c r="J22" s="2">
        <f t="shared" si="2"/>
        <v>404.281</v>
      </c>
      <c r="K22" s="2">
        <f t="shared" si="3"/>
        <v>859.16332</v>
      </c>
    </row>
    <row r="23" spans="1:11" ht="12.75">
      <c r="A23" s="1" t="s">
        <v>23</v>
      </c>
      <c r="B23" s="2">
        <v>194.022</v>
      </c>
      <c r="C23" s="2">
        <v>425.53869</v>
      </c>
      <c r="D23" s="2">
        <v>268.997</v>
      </c>
      <c r="E23" s="2">
        <v>568.1976</v>
      </c>
      <c r="F23" s="2">
        <v>0.612</v>
      </c>
      <c r="G23" s="2">
        <v>1.25801</v>
      </c>
      <c r="H23" s="2">
        <f t="shared" si="0"/>
        <v>194.634</v>
      </c>
      <c r="I23" s="2">
        <f t="shared" si="1"/>
        <v>426.7967</v>
      </c>
      <c r="J23" s="2">
        <f t="shared" si="2"/>
        <v>463.631</v>
      </c>
      <c r="K23" s="2">
        <f t="shared" si="3"/>
        <v>994.9943</v>
      </c>
    </row>
    <row r="24" spans="1:11" ht="12.75">
      <c r="A24" s="1" t="s">
        <v>24</v>
      </c>
      <c r="B24" s="2">
        <v>241.93</v>
      </c>
      <c r="C24" s="2">
        <v>499.37134</v>
      </c>
      <c r="D24" s="2">
        <v>255.704</v>
      </c>
      <c r="E24" s="2">
        <v>752.39037</v>
      </c>
      <c r="F24" s="2">
        <v>27.186</v>
      </c>
      <c r="G24" s="2">
        <v>56.11503</v>
      </c>
      <c r="H24" s="2">
        <f t="shared" si="0"/>
        <v>269.116</v>
      </c>
      <c r="I24" s="2">
        <f t="shared" si="1"/>
        <v>555.48637</v>
      </c>
      <c r="J24" s="2">
        <f t="shared" si="2"/>
        <v>524.8199999999999</v>
      </c>
      <c r="K24" s="2">
        <f t="shared" si="3"/>
        <v>1307.87674</v>
      </c>
    </row>
    <row r="25" spans="1:11" ht="12.75">
      <c r="A25" s="1" t="s">
        <v>25</v>
      </c>
      <c r="B25" s="2">
        <v>235.245</v>
      </c>
      <c r="C25" s="2">
        <v>480.78433</v>
      </c>
      <c r="D25" s="2">
        <v>379.587</v>
      </c>
      <c r="E25" s="2">
        <v>783.62416</v>
      </c>
      <c r="F25" s="2">
        <v>42.416</v>
      </c>
      <c r="G25" s="2">
        <v>86.68815</v>
      </c>
      <c r="H25" s="2">
        <f t="shared" si="0"/>
        <v>277.661</v>
      </c>
      <c r="I25" s="2">
        <f t="shared" si="1"/>
        <v>567.47248</v>
      </c>
      <c r="J25" s="2">
        <f t="shared" si="2"/>
        <v>657.248</v>
      </c>
      <c r="K25" s="2">
        <f t="shared" si="3"/>
        <v>1351.09664</v>
      </c>
    </row>
    <row r="26" spans="1:11" ht="12.75">
      <c r="A26" s="1" t="s">
        <v>26</v>
      </c>
      <c r="B26" s="2">
        <v>240.555</v>
      </c>
      <c r="C26" s="2">
        <v>473.23437</v>
      </c>
      <c r="D26" s="2">
        <v>298.071</v>
      </c>
      <c r="E26" s="2">
        <v>604.93072</v>
      </c>
      <c r="F26" s="2">
        <v>1.231</v>
      </c>
      <c r="G26" s="2">
        <v>2.4216800000000003</v>
      </c>
      <c r="H26" s="2">
        <f t="shared" si="0"/>
        <v>241.786</v>
      </c>
      <c r="I26" s="2">
        <f t="shared" si="1"/>
        <v>475.65605</v>
      </c>
      <c r="J26" s="2">
        <f t="shared" si="2"/>
        <v>539.857</v>
      </c>
      <c r="K26" s="2">
        <f t="shared" si="3"/>
        <v>1080.58677</v>
      </c>
    </row>
    <row r="27" spans="1:11" s="19" customFormat="1" ht="25.5" customHeight="1">
      <c r="A27" s="15" t="s">
        <v>74</v>
      </c>
      <c r="B27" s="16">
        <f aca="true" t="shared" si="5" ref="B27:G27">B15+B16+B17+B18+B19+B20+B21+B22+B23+B24+B25+B26</f>
        <v>2752.4989999999993</v>
      </c>
      <c r="C27" s="16">
        <f t="shared" si="5"/>
        <v>5619.529713000001</v>
      </c>
      <c r="D27" s="16">
        <f t="shared" si="5"/>
        <v>3239.368</v>
      </c>
      <c r="E27" s="16">
        <f t="shared" si="5"/>
        <v>7072.523340000002</v>
      </c>
      <c r="F27" s="16">
        <f t="shared" si="5"/>
        <v>261.237</v>
      </c>
      <c r="G27" s="16">
        <f t="shared" si="5"/>
        <v>534.02908</v>
      </c>
      <c r="H27" s="16">
        <f t="shared" si="0"/>
        <v>3013.7359999999994</v>
      </c>
      <c r="I27" s="16">
        <f t="shared" si="1"/>
        <v>6153.558793000001</v>
      </c>
      <c r="J27" s="16">
        <f t="shared" si="2"/>
        <v>6253.103999999999</v>
      </c>
      <c r="K27" s="16">
        <f t="shared" si="3"/>
        <v>13226.082133000004</v>
      </c>
    </row>
    <row r="28" spans="1:11" ht="12.75">
      <c r="A28" s="3" t="s">
        <v>27</v>
      </c>
      <c r="B28" s="4">
        <f>8.855+164.803</f>
        <v>173.658</v>
      </c>
      <c r="C28" s="2">
        <f>(14027.65+261072.67)/1000*1.18</f>
        <v>324.6183776</v>
      </c>
      <c r="D28" s="4">
        <v>332.517</v>
      </c>
      <c r="E28" s="2">
        <f>561.16801*1.18</f>
        <v>662.1782518</v>
      </c>
      <c r="F28" s="4">
        <v>96.48</v>
      </c>
      <c r="G28" s="2">
        <f>152.83877*1.18</f>
        <v>180.3497486</v>
      </c>
      <c r="H28" s="2">
        <f t="shared" si="0"/>
        <v>270.138</v>
      </c>
      <c r="I28" s="2">
        <f t="shared" si="1"/>
        <v>504.9681262</v>
      </c>
      <c r="J28" s="2">
        <f t="shared" si="2"/>
        <v>602.655</v>
      </c>
      <c r="K28" s="2">
        <f t="shared" si="3"/>
        <v>1167.146378</v>
      </c>
    </row>
    <row r="29" spans="1:11" ht="12.75">
      <c r="A29" s="3" t="s">
        <v>28</v>
      </c>
      <c r="B29" s="4">
        <f>16.147+232.896</f>
        <v>249.04299999999998</v>
      </c>
      <c r="C29" s="2">
        <f>(26869.9+387557.58)/1000*1.18</f>
        <v>489.02442640000004</v>
      </c>
      <c r="D29" s="4">
        <v>157.334</v>
      </c>
      <c r="E29" s="2">
        <f>284.44414*1.18</f>
        <v>335.6440852</v>
      </c>
      <c r="F29" s="4">
        <v>2.45</v>
      </c>
      <c r="G29" s="2">
        <f>4.07702*1.18</f>
        <v>4.8108835999999995</v>
      </c>
      <c r="H29" s="2">
        <f t="shared" si="0"/>
        <v>251.49299999999997</v>
      </c>
      <c r="I29" s="2">
        <f t="shared" si="1"/>
        <v>493.83531000000005</v>
      </c>
      <c r="J29" s="2">
        <f t="shared" si="2"/>
        <v>408.827</v>
      </c>
      <c r="K29" s="2">
        <f t="shared" si="3"/>
        <v>829.4793952</v>
      </c>
    </row>
    <row r="30" spans="1:11" ht="12.75">
      <c r="A30" s="3" t="s">
        <v>29</v>
      </c>
      <c r="B30" s="4">
        <f>20.072+238.387</f>
        <v>258.459</v>
      </c>
      <c r="C30" s="2">
        <f>(34442.55+409060.17)/1000*1.18</f>
        <v>523.3332095999999</v>
      </c>
      <c r="D30" s="4">
        <v>207.589</v>
      </c>
      <c r="E30" s="2">
        <f>384.02174*1.18</f>
        <v>453.1456532</v>
      </c>
      <c r="F30" s="4">
        <v>2.08</v>
      </c>
      <c r="G30" s="2">
        <f>3.56919*1.18</f>
        <v>4.211644199999999</v>
      </c>
      <c r="H30" s="2">
        <f t="shared" si="0"/>
        <v>260.539</v>
      </c>
      <c r="I30" s="2">
        <f t="shared" si="1"/>
        <v>527.5448537999999</v>
      </c>
      <c r="J30" s="2">
        <f t="shared" si="2"/>
        <v>468.128</v>
      </c>
      <c r="K30" s="2">
        <f t="shared" si="3"/>
        <v>980.690507</v>
      </c>
    </row>
    <row r="31" spans="1:11" ht="12.75">
      <c r="A31" s="3" t="s">
        <v>30</v>
      </c>
      <c r="B31" s="4">
        <f>10.468+215.898</f>
        <v>226.36599999999999</v>
      </c>
      <c r="C31" s="2">
        <f>(17684.43+364733.76)/1000*1.18</f>
        <v>451.25346419999994</v>
      </c>
      <c r="D31" s="4">
        <v>148.365</v>
      </c>
      <c r="E31" s="2">
        <f>271.24809*1.18</f>
        <v>320.0727462</v>
      </c>
      <c r="F31" s="4">
        <v>1.23</v>
      </c>
      <c r="G31" s="2">
        <f>2.07794*1.18</f>
        <v>2.4519691999999997</v>
      </c>
      <c r="H31" s="2">
        <f t="shared" si="0"/>
        <v>227.59599999999998</v>
      </c>
      <c r="I31" s="2">
        <f t="shared" si="1"/>
        <v>453.70543339999995</v>
      </c>
      <c r="J31" s="2">
        <f t="shared" si="2"/>
        <v>375.961</v>
      </c>
      <c r="K31" s="2">
        <f t="shared" si="3"/>
        <v>773.7781795999999</v>
      </c>
    </row>
    <row r="32" spans="1:11" ht="12.75">
      <c r="A32" s="3" t="s">
        <v>31</v>
      </c>
      <c r="B32" s="4">
        <f>12.207+172.869</f>
        <v>185.076</v>
      </c>
      <c r="C32" s="2">
        <f>(20030.34+283659.01)/1000*1.18</f>
        <v>358.35343300000005</v>
      </c>
      <c r="D32" s="4">
        <v>130.587</v>
      </c>
      <c r="E32" s="2">
        <f>225.38533*1.18</f>
        <v>265.9546894</v>
      </c>
      <c r="F32" s="4">
        <v>0.354</v>
      </c>
      <c r="G32" s="2">
        <f>0.58087*1.18</f>
        <v>0.6854266</v>
      </c>
      <c r="H32" s="2">
        <f t="shared" si="0"/>
        <v>185.43</v>
      </c>
      <c r="I32" s="2">
        <f t="shared" si="1"/>
        <v>359.0388596000001</v>
      </c>
      <c r="J32" s="2">
        <f t="shared" si="2"/>
        <v>316.017</v>
      </c>
      <c r="K32" s="2">
        <f t="shared" si="3"/>
        <v>624.993549</v>
      </c>
    </row>
    <row r="33" spans="1:11" ht="12.75">
      <c r="A33" s="3" t="s">
        <v>32</v>
      </c>
      <c r="B33" s="4">
        <f>7.883+176.567</f>
        <v>184.45000000000002</v>
      </c>
      <c r="C33" s="2">
        <f>(13459.75+301477.56)/1000*1.18</f>
        <v>371.62602580000004</v>
      </c>
      <c r="D33" s="4">
        <v>45.384</v>
      </c>
      <c r="E33" s="2">
        <f>80.96959*1.18</f>
        <v>95.54411619999999</v>
      </c>
      <c r="F33" s="4">
        <v>1.188</v>
      </c>
      <c r="G33" s="2">
        <f>2.02844*1.18</f>
        <v>2.3935591999999994</v>
      </c>
      <c r="H33" s="2">
        <f t="shared" si="0"/>
        <v>185.638</v>
      </c>
      <c r="I33" s="2">
        <f t="shared" si="1"/>
        <v>374.01958500000006</v>
      </c>
      <c r="J33" s="2">
        <f t="shared" si="2"/>
        <v>231.022</v>
      </c>
      <c r="K33" s="2">
        <f t="shared" si="3"/>
        <v>469.5637012000001</v>
      </c>
    </row>
    <row r="34" spans="1:11" ht="12.75">
      <c r="A34" s="3" t="s">
        <v>33</v>
      </c>
      <c r="B34" s="4">
        <f>7.535+187.011</f>
        <v>194.546</v>
      </c>
      <c r="C34" s="2">
        <f>(17154.93+425767.94)/1000*1.18</f>
        <v>522.6489866</v>
      </c>
      <c r="D34" s="4">
        <v>182.775</v>
      </c>
      <c r="E34" s="2">
        <f>380.28282*1.18</f>
        <v>448.7337276</v>
      </c>
      <c r="F34" s="4">
        <v>45.362</v>
      </c>
      <c r="G34" s="2">
        <f>103.27566*1.18</f>
        <v>121.8652788</v>
      </c>
      <c r="H34" s="2">
        <f t="shared" si="0"/>
        <v>239.908</v>
      </c>
      <c r="I34" s="2">
        <f t="shared" si="1"/>
        <v>644.5142653999999</v>
      </c>
      <c r="J34" s="2">
        <f t="shared" si="2"/>
        <v>422.683</v>
      </c>
      <c r="K34" s="2">
        <f t="shared" si="3"/>
        <v>1093.247993</v>
      </c>
    </row>
    <row r="35" spans="1:11" ht="12.75">
      <c r="A35" s="3" t="s">
        <v>34</v>
      </c>
      <c r="B35" s="4">
        <f>8.551+156.852</f>
        <v>165.403</v>
      </c>
      <c r="C35" s="2">
        <f>(18172.16+333334.03)/1000*1.18</f>
        <v>414.7773042</v>
      </c>
      <c r="D35" s="4">
        <v>102.83</v>
      </c>
      <c r="E35" s="2">
        <f>195.41191*1.18</f>
        <v>230.5860538</v>
      </c>
      <c r="F35" s="4">
        <v>17.106</v>
      </c>
      <c r="G35" s="2">
        <f>36.35281*1.18</f>
        <v>42.896315799999996</v>
      </c>
      <c r="H35" s="2">
        <f t="shared" si="0"/>
        <v>182.509</v>
      </c>
      <c r="I35" s="2">
        <f t="shared" si="1"/>
        <v>457.67362</v>
      </c>
      <c r="J35" s="2">
        <f t="shared" si="2"/>
        <v>285.339</v>
      </c>
      <c r="K35" s="2">
        <f t="shared" si="3"/>
        <v>688.2596738</v>
      </c>
    </row>
    <row r="36" spans="1:11" ht="12.75">
      <c r="A36" s="3" t="s">
        <v>35</v>
      </c>
      <c r="B36" s="4">
        <f>8.119+179.48</f>
        <v>187.599</v>
      </c>
      <c r="C36" s="2">
        <f>(19311.53+426903.95)/1000*1.18</f>
        <v>526.5342663999999</v>
      </c>
      <c r="D36" s="4">
        <v>169.002</v>
      </c>
      <c r="E36" s="2">
        <f>357.47472*1.18</f>
        <v>421.8201696</v>
      </c>
      <c r="F36" s="4">
        <v>28.502</v>
      </c>
      <c r="G36" s="2">
        <f>67.79372*1.18</f>
        <v>79.9965896</v>
      </c>
      <c r="H36" s="2">
        <f t="shared" si="0"/>
        <v>216.101</v>
      </c>
      <c r="I36" s="2">
        <f t="shared" si="1"/>
        <v>606.5308559999999</v>
      </c>
      <c r="J36" s="2">
        <f t="shared" si="2"/>
        <v>385.103</v>
      </c>
      <c r="K36" s="2">
        <f t="shared" si="3"/>
        <v>1028.3510256</v>
      </c>
    </row>
    <row r="37" spans="1:11" ht="12.75">
      <c r="A37" s="3" t="s">
        <v>36</v>
      </c>
      <c r="B37" s="4">
        <f>13.727+233.794</f>
        <v>247.52100000000002</v>
      </c>
      <c r="C37" s="2">
        <f>(33002.87+562094.55)/1000*1.18</f>
        <v>702.2149556</v>
      </c>
      <c r="D37" s="4">
        <v>248.308</v>
      </c>
      <c r="E37" s="2">
        <f>555.83365*1.18</f>
        <v>655.883707</v>
      </c>
      <c r="F37" s="4">
        <v>46.546</v>
      </c>
      <c r="G37" s="2">
        <v>132.0506</v>
      </c>
      <c r="H37" s="2">
        <f t="shared" si="0"/>
        <v>294.067</v>
      </c>
      <c r="I37" s="2">
        <f t="shared" si="1"/>
        <v>834.2655556000001</v>
      </c>
      <c r="J37" s="2">
        <f t="shared" si="2"/>
        <v>542.375</v>
      </c>
      <c r="K37" s="2">
        <f t="shared" si="3"/>
        <v>1490.1492626</v>
      </c>
    </row>
    <row r="38" spans="1:11" ht="12.75">
      <c r="A38" s="3" t="s">
        <v>37</v>
      </c>
      <c r="B38" s="4">
        <f>11.681+674.59</f>
        <v>686.2710000000001</v>
      </c>
      <c r="C38" s="2">
        <f>(27376.53+1581023.09)/1000*1.18</f>
        <v>1897.9115516000002</v>
      </c>
      <c r="D38" s="4">
        <v>146.904</v>
      </c>
      <c r="E38" s="2">
        <f>306.69017*1.18</f>
        <v>361.8944006</v>
      </c>
      <c r="F38" s="4">
        <v>-4.877</v>
      </c>
      <c r="G38" s="2">
        <v>-13.48755</v>
      </c>
      <c r="H38" s="2">
        <f t="shared" si="0"/>
        <v>681.3940000000001</v>
      </c>
      <c r="I38" s="2">
        <f t="shared" si="1"/>
        <v>1884.4240016</v>
      </c>
      <c r="J38" s="2">
        <f t="shared" si="2"/>
        <v>828.2980000000001</v>
      </c>
      <c r="K38" s="2">
        <f t="shared" si="3"/>
        <v>2246.3184022</v>
      </c>
    </row>
    <row r="39" spans="1:11" ht="12.75">
      <c r="A39" s="3" t="s">
        <v>38</v>
      </c>
      <c r="B39" s="4">
        <f>19.042+286.158</f>
        <v>305.20000000000005</v>
      </c>
      <c r="C39" s="2">
        <f>(42473.56+638281.14)/1000*1.18</f>
        <v>803.290546</v>
      </c>
      <c r="D39" s="4">
        <v>260.882</v>
      </c>
      <c r="E39" s="2">
        <f>517.60682*1.18</f>
        <v>610.7760476</v>
      </c>
      <c r="F39" s="4">
        <v>27.887</v>
      </c>
      <c r="G39" s="2">
        <v>73.39898</v>
      </c>
      <c r="H39" s="2">
        <f t="shared" si="0"/>
        <v>333.08700000000005</v>
      </c>
      <c r="I39" s="2">
        <f t="shared" si="1"/>
        <v>876.6895259999999</v>
      </c>
      <c r="J39" s="2">
        <f t="shared" si="2"/>
        <v>593.969</v>
      </c>
      <c r="K39" s="2">
        <f t="shared" si="3"/>
        <v>1487.4655736</v>
      </c>
    </row>
    <row r="40" spans="1:11" s="19" customFormat="1" ht="24.75" customHeight="1">
      <c r="A40" s="15" t="s">
        <v>73</v>
      </c>
      <c r="B40" s="22">
        <f aca="true" t="shared" si="6" ref="B40:G40">SUM(B28:B39)</f>
        <v>3063.5920000000006</v>
      </c>
      <c r="C40" s="22">
        <f t="shared" si="6"/>
        <v>7385.586547000001</v>
      </c>
      <c r="D40" s="22">
        <f t="shared" si="6"/>
        <v>2132.477</v>
      </c>
      <c r="E40" s="16">
        <f t="shared" si="6"/>
        <v>4862.2336482</v>
      </c>
      <c r="F40" s="22">
        <f t="shared" si="6"/>
        <v>264.308</v>
      </c>
      <c r="G40" s="16">
        <f t="shared" si="6"/>
        <v>631.6234456</v>
      </c>
      <c r="H40" s="16">
        <f t="shared" si="0"/>
        <v>3327.9000000000005</v>
      </c>
      <c r="I40" s="16">
        <f>C40+G40</f>
        <v>8017.209992600001</v>
      </c>
      <c r="J40" s="16">
        <f t="shared" si="2"/>
        <v>5460.377</v>
      </c>
      <c r="K40" s="16">
        <f t="shared" si="3"/>
        <v>12879.4436408</v>
      </c>
    </row>
    <row r="41" spans="1:11" ht="12.75">
      <c r="A41" s="3" t="s">
        <v>43</v>
      </c>
      <c r="B41" s="4"/>
      <c r="C41" s="2"/>
      <c r="D41" s="4">
        <v>302.02</v>
      </c>
      <c r="E41" s="8">
        <v>714103.64</v>
      </c>
      <c r="F41" s="4"/>
      <c r="G41" s="2"/>
      <c r="H41" s="2">
        <v>273.157</v>
      </c>
      <c r="I41" s="8">
        <v>734727.55</v>
      </c>
      <c r="J41" s="2">
        <f>D41+H41</f>
        <v>575.1769999999999</v>
      </c>
      <c r="K41" s="8">
        <f>E41+I41</f>
        <v>1448831.19</v>
      </c>
    </row>
    <row r="42" spans="1:11" ht="12.75">
      <c r="A42" s="3" t="s">
        <v>44</v>
      </c>
      <c r="B42" s="4"/>
      <c r="C42" s="2"/>
      <c r="D42" s="4">
        <v>234.038</v>
      </c>
      <c r="E42" s="8">
        <v>536219.82</v>
      </c>
      <c r="F42" s="4"/>
      <c r="G42" s="2"/>
      <c r="H42" s="2">
        <v>231.83</v>
      </c>
      <c r="I42" s="8">
        <v>600265.92</v>
      </c>
      <c r="J42" s="2">
        <f aca="true" t="shared" si="7" ref="J42:J52">D42+H42</f>
        <v>465.86800000000005</v>
      </c>
      <c r="K42" s="8">
        <f aca="true" t="shared" si="8" ref="K42:K52">E42+I42</f>
        <v>1136485.74</v>
      </c>
    </row>
    <row r="43" spans="1:11" ht="12.75">
      <c r="A43" s="3" t="s">
        <v>45</v>
      </c>
      <c r="B43" s="4"/>
      <c r="C43" s="2"/>
      <c r="D43" s="4">
        <v>150.047</v>
      </c>
      <c r="E43" s="8">
        <v>365382.27</v>
      </c>
      <c r="F43" s="4"/>
      <c r="G43" s="2"/>
      <c r="H43" s="2">
        <f>195.08+22.416+0.829</f>
        <v>218.32500000000002</v>
      </c>
      <c r="I43" s="8">
        <f>534200.63+61383.23+2270.07</f>
        <v>597853.9299999999</v>
      </c>
      <c r="J43" s="2">
        <f t="shared" si="7"/>
        <v>368.372</v>
      </c>
      <c r="K43" s="8">
        <f t="shared" si="8"/>
        <v>963236.2</v>
      </c>
    </row>
    <row r="44" spans="1:11" ht="12.75">
      <c r="A44" s="3" t="s">
        <v>46</v>
      </c>
      <c r="B44" s="4"/>
      <c r="C44" s="2"/>
      <c r="D44" s="4">
        <v>70.161</v>
      </c>
      <c r="E44" s="8">
        <v>164675.07</v>
      </c>
      <c r="F44" s="4"/>
      <c r="G44" s="2"/>
      <c r="H44" s="2">
        <v>204.183</v>
      </c>
      <c r="I44" s="8">
        <v>542645.57</v>
      </c>
      <c r="J44" s="2">
        <f t="shared" si="7"/>
        <v>274.344</v>
      </c>
      <c r="K44" s="8">
        <f t="shared" si="8"/>
        <v>707320.6399999999</v>
      </c>
    </row>
    <row r="45" spans="1:11" ht="12.75">
      <c r="A45" s="3" t="s">
        <v>47</v>
      </c>
      <c r="B45" s="4"/>
      <c r="C45" s="2"/>
      <c r="D45" s="4">
        <v>197.454</v>
      </c>
      <c r="E45" s="8">
        <v>494151.08</v>
      </c>
      <c r="F45" s="4"/>
      <c r="G45" s="2"/>
      <c r="H45" s="2">
        <v>182.836</v>
      </c>
      <c r="I45" s="8">
        <v>515956.48</v>
      </c>
      <c r="J45" s="2">
        <f t="shared" si="7"/>
        <v>380.29</v>
      </c>
      <c r="K45" s="8">
        <f t="shared" si="8"/>
        <v>1010107.56</v>
      </c>
    </row>
    <row r="46" spans="1:11" ht="12.75">
      <c r="A46" s="3" t="s">
        <v>48</v>
      </c>
      <c r="B46" s="4"/>
      <c r="C46" s="2"/>
      <c r="D46" s="4">
        <v>38.078</v>
      </c>
      <c r="E46" s="8">
        <v>95868.35</v>
      </c>
      <c r="F46" s="4"/>
      <c r="G46" s="2"/>
      <c r="H46" s="2">
        <f>6.756+1.979+251.849</f>
        <v>260.584</v>
      </c>
      <c r="I46" s="8">
        <f>18802.47+5507.69+669557.2</f>
        <v>693867.36</v>
      </c>
      <c r="J46" s="9">
        <f t="shared" si="7"/>
        <v>298.66200000000003</v>
      </c>
      <c r="K46" s="10">
        <f t="shared" si="8"/>
        <v>789735.71</v>
      </c>
    </row>
    <row r="47" spans="1:11" ht="12.75">
      <c r="A47" s="3" t="s">
        <v>49</v>
      </c>
      <c r="B47" s="4"/>
      <c r="C47" s="2"/>
      <c r="D47" s="4">
        <v>50.285</v>
      </c>
      <c r="E47" s="8">
        <v>128463.09</v>
      </c>
      <c r="F47" s="4"/>
      <c r="G47" s="2"/>
      <c r="H47" s="2">
        <f>4.784+114.566+35.411</f>
        <v>154.76100000000002</v>
      </c>
      <c r="I47" s="8">
        <f>13671.07+327391.25+101192.78</f>
        <v>442255.1</v>
      </c>
      <c r="J47" s="9">
        <f t="shared" si="7"/>
        <v>205.04600000000002</v>
      </c>
      <c r="K47" s="10">
        <f t="shared" si="8"/>
        <v>570718.19</v>
      </c>
    </row>
    <row r="48" spans="1:11" ht="12.75">
      <c r="A48" s="3" t="s">
        <v>50</v>
      </c>
      <c r="B48" s="4"/>
      <c r="C48" s="2"/>
      <c r="D48" s="4">
        <v>151.776</v>
      </c>
      <c r="E48" s="8">
        <v>390643.5</v>
      </c>
      <c r="F48" s="4"/>
      <c r="G48" s="2"/>
      <c r="H48" s="2">
        <f>159.851+9.133+21.895+9.054</f>
        <v>199.93300000000002</v>
      </c>
      <c r="I48" s="8">
        <f>486564.27+63336.71+26190.93</f>
        <v>576091.91</v>
      </c>
      <c r="J48" s="9">
        <f t="shared" si="7"/>
        <v>351.70900000000006</v>
      </c>
      <c r="K48" s="10">
        <f t="shared" si="8"/>
        <v>966735.41</v>
      </c>
    </row>
    <row r="49" spans="1:11" ht="12.75">
      <c r="A49" s="3" t="s">
        <v>51</v>
      </c>
      <c r="B49" s="4"/>
      <c r="C49" s="2"/>
      <c r="D49" s="4">
        <v>205.118</v>
      </c>
      <c r="E49" s="8">
        <v>533413.59</v>
      </c>
      <c r="F49" s="4"/>
      <c r="G49" s="2"/>
      <c r="H49" s="2">
        <f>4.611+10.926+195.712</f>
        <v>211.249</v>
      </c>
      <c r="I49" s="8">
        <f>13271.7+31447.96+563311.55</f>
        <v>608031.2100000001</v>
      </c>
      <c r="J49" s="9">
        <f t="shared" si="7"/>
        <v>416.36699999999996</v>
      </c>
      <c r="K49" s="10">
        <f t="shared" si="8"/>
        <v>1141444.8</v>
      </c>
    </row>
    <row r="50" spans="1:11" ht="12.75">
      <c r="A50" s="3" t="s">
        <v>52</v>
      </c>
      <c r="B50" s="4"/>
      <c r="C50" s="2"/>
      <c r="D50" s="4">
        <v>168.009</v>
      </c>
      <c r="E50" s="8">
        <f>168012*2.18589*1.18</f>
        <v>433361.7858024</v>
      </c>
      <c r="F50" s="4"/>
      <c r="G50" s="2"/>
      <c r="H50" s="2">
        <f>9.433+175.745+51.011</f>
        <v>236.189</v>
      </c>
      <c r="I50" s="8">
        <f>26953.02+502158.12+145754.28</f>
        <v>674865.42</v>
      </c>
      <c r="J50" s="9">
        <f t="shared" si="7"/>
        <v>404.198</v>
      </c>
      <c r="K50" s="10">
        <f t="shared" si="8"/>
        <v>1108227.2058024001</v>
      </c>
    </row>
    <row r="51" spans="1:11" ht="12.75">
      <c r="A51" s="3" t="s">
        <v>53</v>
      </c>
      <c r="B51" s="4"/>
      <c r="C51" s="2"/>
      <c r="D51" s="4">
        <v>143.074</v>
      </c>
      <c r="E51" s="8">
        <v>362816.67</v>
      </c>
      <c r="F51" s="4"/>
      <c r="G51" s="2"/>
      <c r="H51" s="2">
        <v>278.465</v>
      </c>
      <c r="I51" s="8">
        <v>792841.81</v>
      </c>
      <c r="J51" s="2">
        <f t="shared" si="7"/>
        <v>421.539</v>
      </c>
      <c r="K51" s="8">
        <f t="shared" si="8"/>
        <v>1155658.48</v>
      </c>
    </row>
    <row r="52" spans="1:11" ht="12.75">
      <c r="A52" s="3" t="s">
        <v>54</v>
      </c>
      <c r="B52" s="4"/>
      <c r="C52" s="2"/>
      <c r="D52" s="4">
        <v>386.749</v>
      </c>
      <c r="E52" s="8">
        <v>940401.72</v>
      </c>
      <c r="F52" s="4"/>
      <c r="G52" s="2"/>
      <c r="H52" s="2">
        <v>389.98</v>
      </c>
      <c r="I52" s="8">
        <v>995791.23</v>
      </c>
      <c r="J52" s="2">
        <f t="shared" si="7"/>
        <v>776.729</v>
      </c>
      <c r="K52" s="8">
        <f t="shared" si="8"/>
        <v>1936192.95</v>
      </c>
    </row>
    <row r="53" spans="1:11" s="19" customFormat="1" ht="24.75" customHeight="1">
      <c r="A53" s="15" t="s">
        <v>72</v>
      </c>
      <c r="B53" s="16">
        <f>SUM(B41:B52)</f>
        <v>0</v>
      </c>
      <c r="C53" s="16">
        <f>SUM(C41:C52)</f>
        <v>0</v>
      </c>
      <c r="D53" s="16">
        <f aca="true" t="shared" si="9" ref="D53:I53">SUM(D41:D52)</f>
        <v>2096.809</v>
      </c>
      <c r="E53" s="16">
        <f t="shared" si="9"/>
        <v>5159500.5858024</v>
      </c>
      <c r="F53" s="16">
        <f t="shared" si="9"/>
        <v>0</v>
      </c>
      <c r="G53" s="16">
        <f t="shared" si="9"/>
        <v>0</v>
      </c>
      <c r="H53" s="16">
        <f t="shared" si="9"/>
        <v>2841.492</v>
      </c>
      <c r="I53" s="16">
        <f t="shared" si="9"/>
        <v>7775193.49</v>
      </c>
      <c r="J53" s="16">
        <f>D53+H53</f>
        <v>4938.301</v>
      </c>
      <c r="K53" s="21">
        <f>E53+I53</f>
        <v>12934694.0758024</v>
      </c>
    </row>
    <row r="54" spans="1:11" ht="12.75">
      <c r="A54" s="11">
        <v>42736</v>
      </c>
      <c r="B54" s="4"/>
      <c r="C54" s="2"/>
      <c r="D54" s="4">
        <v>162.511</v>
      </c>
      <c r="E54" s="12">
        <v>379343.62</v>
      </c>
      <c r="F54" s="4"/>
      <c r="G54" s="2"/>
      <c r="H54" s="2">
        <v>148.877</v>
      </c>
      <c r="I54" s="12">
        <v>404616.1</v>
      </c>
      <c r="J54" s="2">
        <f>D54+H54</f>
        <v>311.38800000000003</v>
      </c>
      <c r="K54" s="12">
        <f>E54+I54</f>
        <v>783959.72</v>
      </c>
    </row>
    <row r="55" spans="1:11" ht="12.75">
      <c r="A55" s="11">
        <v>42767</v>
      </c>
      <c r="B55" s="4"/>
      <c r="C55" s="2"/>
      <c r="D55" s="4">
        <v>139.636</v>
      </c>
      <c r="E55" s="12">
        <v>401369.35</v>
      </c>
      <c r="F55" s="4"/>
      <c r="G55" s="2"/>
      <c r="H55" s="2">
        <v>31.813</v>
      </c>
      <c r="I55" s="12">
        <v>107110.98</v>
      </c>
      <c r="J55" s="2">
        <f aca="true" t="shared" si="10" ref="J55:J65">D55+H55</f>
        <v>171.44899999999998</v>
      </c>
      <c r="K55" s="12">
        <f aca="true" t="shared" si="11" ref="K55:K65">E55+I55</f>
        <v>508480.32999999996</v>
      </c>
    </row>
    <row r="56" spans="1:11" ht="12.75">
      <c r="A56" s="11">
        <v>42795</v>
      </c>
      <c r="B56" s="4"/>
      <c r="C56" s="2"/>
      <c r="D56" s="4">
        <v>329.059</v>
      </c>
      <c r="E56" s="12">
        <v>719786.59</v>
      </c>
      <c r="F56" s="4"/>
      <c r="G56" s="2"/>
      <c r="H56" s="2">
        <v>327.182</v>
      </c>
      <c r="I56" s="12">
        <v>787436.23</v>
      </c>
      <c r="J56" s="2">
        <f t="shared" si="10"/>
        <v>656.241</v>
      </c>
      <c r="K56" s="12">
        <f t="shared" si="11"/>
        <v>1507222.8199999998</v>
      </c>
    </row>
    <row r="57" spans="1:11" ht="12.75">
      <c r="A57" s="11">
        <v>42826</v>
      </c>
      <c r="B57" s="4"/>
      <c r="C57" s="2"/>
      <c r="D57" s="4">
        <v>118.026</v>
      </c>
      <c r="E57" s="12">
        <v>271374.82</v>
      </c>
      <c r="F57" s="4"/>
      <c r="G57" s="2"/>
      <c r="H57" s="2">
        <v>180.371</v>
      </c>
      <c r="I57" s="12">
        <v>453570.52</v>
      </c>
      <c r="J57" s="2">
        <f t="shared" si="10"/>
        <v>298.397</v>
      </c>
      <c r="K57" s="12">
        <f t="shared" si="11"/>
        <v>724945.3400000001</v>
      </c>
    </row>
    <row r="58" spans="1:11" ht="12.75">
      <c r="A58" s="11">
        <v>42856</v>
      </c>
      <c r="B58" s="4"/>
      <c r="C58" s="2"/>
      <c r="D58" s="4">
        <v>229.688</v>
      </c>
      <c r="E58" s="12">
        <v>610513.33</v>
      </c>
      <c r="F58" s="4"/>
      <c r="G58" s="2"/>
      <c r="H58" s="2">
        <v>219.068</v>
      </c>
      <c r="I58" s="12">
        <v>675143.17</v>
      </c>
      <c r="J58" s="2">
        <f t="shared" si="10"/>
        <v>448.756</v>
      </c>
      <c r="K58" s="12">
        <f t="shared" si="11"/>
        <v>1285656.5</v>
      </c>
    </row>
    <row r="59" spans="1:11" ht="12.75">
      <c r="A59" s="11">
        <v>42887</v>
      </c>
      <c r="B59" s="4"/>
      <c r="C59" s="2"/>
      <c r="D59" s="4">
        <v>92.903</v>
      </c>
      <c r="E59" s="12">
        <v>194005.62</v>
      </c>
      <c r="F59" s="4"/>
      <c r="G59" s="2"/>
      <c r="H59" s="2">
        <v>209.82</v>
      </c>
      <c r="I59" s="12">
        <v>523534.47</v>
      </c>
      <c r="J59" s="9">
        <f t="shared" si="10"/>
        <v>302.723</v>
      </c>
      <c r="K59" s="13">
        <f t="shared" si="11"/>
        <v>717540.09</v>
      </c>
    </row>
    <row r="60" spans="1:11" ht="12.75">
      <c r="A60" s="11">
        <v>42917</v>
      </c>
      <c r="B60" s="4"/>
      <c r="C60" s="2"/>
      <c r="D60" s="4">
        <v>190.456</v>
      </c>
      <c r="E60" s="12">
        <v>530650.6</v>
      </c>
      <c r="F60" s="4"/>
      <c r="G60" s="2"/>
      <c r="H60" s="2">
        <v>173.896</v>
      </c>
      <c r="I60" s="12">
        <v>508464.5</v>
      </c>
      <c r="J60" s="9">
        <f t="shared" si="10"/>
        <v>364.352</v>
      </c>
      <c r="K60" s="13">
        <f t="shared" si="11"/>
        <v>1039115.1</v>
      </c>
    </row>
    <row r="61" spans="1:11" ht="12.75">
      <c r="A61" s="11">
        <v>42948</v>
      </c>
      <c r="B61" s="4"/>
      <c r="C61" s="2"/>
      <c r="D61" s="4">
        <v>96.036</v>
      </c>
      <c r="E61" s="12">
        <v>274081.75</v>
      </c>
      <c r="F61" s="4"/>
      <c r="G61" s="2"/>
      <c r="H61" s="2">
        <v>214.137</v>
      </c>
      <c r="I61" s="12">
        <v>630026.34</v>
      </c>
      <c r="J61" s="9">
        <f t="shared" si="10"/>
        <v>310.173</v>
      </c>
      <c r="K61" s="13">
        <f t="shared" si="11"/>
        <v>904108.09</v>
      </c>
    </row>
    <row r="62" spans="1:11" ht="12.75">
      <c r="A62" s="11">
        <v>42979</v>
      </c>
      <c r="B62" s="4"/>
      <c r="C62" s="2"/>
      <c r="D62" s="4">
        <v>211.714</v>
      </c>
      <c r="E62" s="12">
        <f>530171.9*1.18</f>
        <v>625602.842</v>
      </c>
      <c r="F62" s="4"/>
      <c r="G62" s="2"/>
      <c r="H62" s="2">
        <v>241.672</v>
      </c>
      <c r="I62" s="12">
        <f>630911.34*1.18</f>
        <v>744475.3812</v>
      </c>
      <c r="J62" s="9">
        <f t="shared" si="10"/>
        <v>453.38599999999997</v>
      </c>
      <c r="K62" s="13">
        <f t="shared" si="11"/>
        <v>1370078.2232</v>
      </c>
    </row>
    <row r="63" spans="1:11" ht="12.75">
      <c r="A63" s="11">
        <v>43009</v>
      </c>
      <c r="B63" s="4"/>
      <c r="C63" s="2"/>
      <c r="D63" s="4">
        <v>172.648</v>
      </c>
      <c r="E63" s="12">
        <v>512705.66</v>
      </c>
      <c r="F63" s="4"/>
      <c r="G63" s="2"/>
      <c r="H63" s="2">
        <v>294.408</v>
      </c>
      <c r="I63" s="12">
        <f>758925.49*1.18</f>
        <v>895532.0782</v>
      </c>
      <c r="J63" s="9">
        <f t="shared" si="10"/>
        <v>467.05600000000004</v>
      </c>
      <c r="K63" s="13">
        <f t="shared" si="11"/>
        <v>1408237.7382</v>
      </c>
    </row>
    <row r="64" spans="1:11" ht="12.75">
      <c r="A64" s="11">
        <v>43040</v>
      </c>
      <c r="B64" s="4"/>
      <c r="C64" s="2"/>
      <c r="D64" s="4">
        <v>219.129</v>
      </c>
      <c r="E64" s="12">
        <f>546173.58*1.18</f>
        <v>644484.8243999999</v>
      </c>
      <c r="F64" s="4"/>
      <c r="G64" s="2"/>
      <c r="H64" s="2">
        <v>323.064</v>
      </c>
      <c r="I64" s="12">
        <f>828698.12*1.18</f>
        <v>977863.7816</v>
      </c>
      <c r="J64" s="2">
        <f t="shared" si="10"/>
        <v>542.193</v>
      </c>
      <c r="K64" s="12">
        <f t="shared" si="11"/>
        <v>1622348.606</v>
      </c>
    </row>
    <row r="65" spans="1:11" ht="12.75">
      <c r="A65" s="11">
        <v>43070</v>
      </c>
      <c r="B65" s="4"/>
      <c r="C65" s="2"/>
      <c r="D65" s="4">
        <f>242.8+23.301</f>
        <v>266.101</v>
      </c>
      <c r="E65" s="12">
        <v>726827.08</v>
      </c>
      <c r="F65" s="4"/>
      <c r="G65" s="2"/>
      <c r="H65" s="2">
        <f>29.777+197.681</f>
        <v>227.45800000000003</v>
      </c>
      <c r="I65" s="12">
        <f>83398.72+553660.44</f>
        <v>637059.1599999999</v>
      </c>
      <c r="J65" s="2">
        <f t="shared" si="10"/>
        <v>493.559</v>
      </c>
      <c r="K65" s="12">
        <f t="shared" si="11"/>
        <v>1363886.2399999998</v>
      </c>
    </row>
    <row r="66" spans="1:11" s="19" customFormat="1" ht="24.75" customHeight="1">
      <c r="A66" s="15" t="s">
        <v>71</v>
      </c>
      <c r="B66" s="16">
        <f aca="true" t="shared" si="12" ref="B66:I66">SUM(B54:B65)</f>
        <v>0</v>
      </c>
      <c r="C66" s="16">
        <f t="shared" si="12"/>
        <v>0</v>
      </c>
      <c r="D66" s="17">
        <f t="shared" si="12"/>
        <v>2227.9069999999997</v>
      </c>
      <c r="E66" s="18">
        <f t="shared" si="12"/>
        <v>5890746.0864</v>
      </c>
      <c r="F66" s="16">
        <f t="shared" si="12"/>
        <v>0</v>
      </c>
      <c r="G66" s="16">
        <f t="shared" si="12"/>
        <v>0</v>
      </c>
      <c r="H66" s="17">
        <f t="shared" si="12"/>
        <v>2591.766</v>
      </c>
      <c r="I66" s="18">
        <f t="shared" si="12"/>
        <v>7344832.711</v>
      </c>
      <c r="J66" s="17">
        <f>D66+H66</f>
        <v>4819.673</v>
      </c>
      <c r="K66" s="18">
        <f>E66+I66</f>
        <v>13235578.797400001</v>
      </c>
    </row>
    <row r="67" spans="1:11" ht="12.75">
      <c r="A67" s="14" t="s">
        <v>58</v>
      </c>
      <c r="B67" s="4"/>
      <c r="C67" s="2"/>
      <c r="D67" s="4">
        <v>208.048</v>
      </c>
      <c r="E67" s="12">
        <v>591411.23</v>
      </c>
      <c r="F67" s="4"/>
      <c r="G67" s="2"/>
      <c r="H67" s="2">
        <v>275.713</v>
      </c>
      <c r="I67" s="12">
        <v>765401.29</v>
      </c>
      <c r="J67" s="2">
        <f>D67+H67</f>
        <v>483.761</v>
      </c>
      <c r="K67" s="12">
        <f>E67+I67</f>
        <v>1356812.52</v>
      </c>
    </row>
    <row r="68" spans="1:11" ht="12.75">
      <c r="A68" s="14" t="s">
        <v>60</v>
      </c>
      <c r="B68" s="4"/>
      <c r="C68" s="2"/>
      <c r="D68" s="2">
        <v>183.2</v>
      </c>
      <c r="E68" s="12">
        <v>549865.27</v>
      </c>
      <c r="F68" s="4"/>
      <c r="G68" s="2"/>
      <c r="H68" s="2">
        <v>134.721</v>
      </c>
      <c r="I68" s="12">
        <f>335334.04*1.18</f>
        <v>395694.16719999997</v>
      </c>
      <c r="J68" s="2">
        <f aca="true" t="shared" si="13" ref="J68:J78">D68+H68</f>
        <v>317.921</v>
      </c>
      <c r="K68" s="12">
        <f aca="true" t="shared" si="14" ref="K68:K78">E68+I68</f>
        <v>945559.4372</v>
      </c>
    </row>
    <row r="69" spans="1:11" ht="12.75">
      <c r="A69" s="14" t="s">
        <v>59</v>
      </c>
      <c r="B69" s="4"/>
      <c r="C69" s="2"/>
      <c r="D69" s="2">
        <f>131.329+177.274</f>
        <v>308.603</v>
      </c>
      <c r="E69" s="12">
        <v>860078.76</v>
      </c>
      <c r="F69" s="4"/>
      <c r="G69" s="2"/>
      <c r="H69" s="2">
        <f>223.073+77.018+70.427</f>
        <v>370.51800000000003</v>
      </c>
      <c r="I69" s="12">
        <f>810010.12+189567.4</f>
        <v>999577.52</v>
      </c>
      <c r="J69" s="2">
        <f t="shared" si="13"/>
        <v>679.1210000000001</v>
      </c>
      <c r="K69" s="12">
        <f t="shared" si="14"/>
        <v>1859656.28</v>
      </c>
    </row>
    <row r="70" spans="1:11" ht="12.75">
      <c r="A70" s="14" t="s">
        <v>61</v>
      </c>
      <c r="B70" s="4"/>
      <c r="C70" s="2"/>
      <c r="D70" s="2">
        <v>166.41</v>
      </c>
      <c r="E70" s="12">
        <v>510715.07</v>
      </c>
      <c r="F70" s="4"/>
      <c r="G70" s="2"/>
      <c r="H70" s="2">
        <f>31.555+144.448</f>
        <v>176.00300000000001</v>
      </c>
      <c r="I70" s="12">
        <f>93649.5+428695.37</f>
        <v>522344.87</v>
      </c>
      <c r="J70" s="2">
        <f t="shared" si="13"/>
        <v>342.413</v>
      </c>
      <c r="K70" s="12">
        <f t="shared" si="14"/>
        <v>1033059.94</v>
      </c>
    </row>
    <row r="71" spans="1:11" ht="12.75">
      <c r="A71" s="14" t="s">
        <v>62</v>
      </c>
      <c r="B71" s="4"/>
      <c r="C71" s="2"/>
      <c r="D71" s="2">
        <v>162.946</v>
      </c>
      <c r="E71" s="12">
        <v>475643.84</v>
      </c>
      <c r="F71" s="4"/>
      <c r="G71" s="2"/>
      <c r="H71" s="2">
        <v>224.697</v>
      </c>
      <c r="I71" s="12">
        <v>645552.95</v>
      </c>
      <c r="J71" s="2">
        <f t="shared" si="13"/>
        <v>387.64300000000003</v>
      </c>
      <c r="K71" s="12">
        <f t="shared" si="14"/>
        <v>1121196.79</v>
      </c>
    </row>
    <row r="72" spans="1:11" ht="12.75">
      <c r="A72" s="14" t="s">
        <v>63</v>
      </c>
      <c r="B72" s="4"/>
      <c r="C72" s="2"/>
      <c r="D72" s="2">
        <f>79.208+44.01-0.27</f>
        <v>122.948</v>
      </c>
      <c r="E72" s="12">
        <f>358248.59-788.39</f>
        <v>357460.2</v>
      </c>
      <c r="F72" s="4"/>
      <c r="G72" s="2"/>
      <c r="H72" s="2">
        <f>151.677+1.882+8.053</f>
        <v>161.612</v>
      </c>
      <c r="I72" s="12">
        <f>22849.13+436152.67</f>
        <v>459001.8</v>
      </c>
      <c r="J72" s="9">
        <f t="shared" si="13"/>
        <v>284.56</v>
      </c>
      <c r="K72" s="13">
        <f>E72+I72</f>
        <v>816462</v>
      </c>
    </row>
    <row r="73" spans="1:11" ht="12.75">
      <c r="A73" s="14" t="s">
        <v>64</v>
      </c>
      <c r="B73" s="4"/>
      <c r="C73" s="2"/>
      <c r="D73" s="2">
        <f>121.967+70.092+0.27</f>
        <v>192.329</v>
      </c>
      <c r="E73" s="12">
        <f>640624.61+798.94</f>
        <v>641423.5499999999</v>
      </c>
      <c r="F73" s="4"/>
      <c r="G73" s="2"/>
      <c r="H73" s="2">
        <v>274.624</v>
      </c>
      <c r="I73" s="12">
        <v>845218.32</v>
      </c>
      <c r="J73" s="9">
        <f t="shared" si="13"/>
        <v>466.95300000000003</v>
      </c>
      <c r="K73" s="13">
        <f>E73+I73</f>
        <v>1486641.8699999999</v>
      </c>
    </row>
    <row r="74" spans="1:11" ht="12.75">
      <c r="A74" s="14" t="s">
        <v>65</v>
      </c>
      <c r="B74" s="4"/>
      <c r="C74" s="2"/>
      <c r="D74" s="2">
        <v>150.584</v>
      </c>
      <c r="E74" s="12">
        <v>539074.82</v>
      </c>
      <c r="F74" s="4"/>
      <c r="G74" s="2"/>
      <c r="H74" s="2">
        <v>183.367</v>
      </c>
      <c r="I74" s="12">
        <v>578014.85</v>
      </c>
      <c r="J74" s="9">
        <f t="shared" si="13"/>
        <v>333.951</v>
      </c>
      <c r="K74" s="13">
        <f t="shared" si="14"/>
        <v>1117089.67</v>
      </c>
    </row>
    <row r="75" spans="1:11" ht="12.75">
      <c r="A75" s="14" t="s">
        <v>66</v>
      </c>
      <c r="B75" s="4"/>
      <c r="C75" s="2"/>
      <c r="D75" s="2">
        <v>169.963</v>
      </c>
      <c r="E75" s="12">
        <v>671974.75</v>
      </c>
      <c r="F75" s="4"/>
      <c r="G75" s="2"/>
      <c r="H75" s="2">
        <v>115.547</v>
      </c>
      <c r="I75" s="12">
        <v>401617.82</v>
      </c>
      <c r="J75" s="9">
        <f t="shared" si="13"/>
        <v>285.51</v>
      </c>
      <c r="K75" s="13">
        <f t="shared" si="14"/>
        <v>1073592.57</v>
      </c>
    </row>
    <row r="76" spans="1:11" ht="12.75">
      <c r="A76" s="14" t="s">
        <v>67</v>
      </c>
      <c r="B76" s="4"/>
      <c r="C76" s="2"/>
      <c r="D76" s="2">
        <v>294.408</v>
      </c>
      <c r="E76" s="12">
        <v>1084324.58</v>
      </c>
      <c r="F76" s="4"/>
      <c r="G76" s="2"/>
      <c r="H76" s="2">
        <v>339.871</v>
      </c>
      <c r="I76" s="12">
        <v>1130644.65</v>
      </c>
      <c r="J76" s="9">
        <f t="shared" si="13"/>
        <v>634.279</v>
      </c>
      <c r="K76" s="13">
        <f t="shared" si="14"/>
        <v>2214969.23</v>
      </c>
    </row>
    <row r="77" spans="1:11" ht="12.75">
      <c r="A77" s="14" t="s">
        <v>68</v>
      </c>
      <c r="B77" s="4"/>
      <c r="C77" s="2"/>
      <c r="D77" s="2">
        <v>123.76</v>
      </c>
      <c r="E77" s="12">
        <f>404634.56*1.18</f>
        <v>477468.78079999995</v>
      </c>
      <c r="F77" s="4"/>
      <c r="G77" s="2"/>
      <c r="H77" s="2">
        <v>274.571</v>
      </c>
      <c r="I77" s="12">
        <f>795674.4*1.18</f>
        <v>938895.792</v>
      </c>
      <c r="J77" s="2">
        <f t="shared" si="13"/>
        <v>398.331</v>
      </c>
      <c r="K77" s="12">
        <f t="shared" si="14"/>
        <v>1416364.5728</v>
      </c>
    </row>
    <row r="78" spans="1:11" ht="12.75">
      <c r="A78" s="14" t="s">
        <v>69</v>
      </c>
      <c r="B78" s="4"/>
      <c r="C78" s="2"/>
      <c r="D78" s="2">
        <v>220.853</v>
      </c>
      <c r="E78" s="12">
        <f>D78*3022.15*1.18</f>
        <v>787592.054861</v>
      </c>
      <c r="F78" s="4"/>
      <c r="G78" s="2"/>
      <c r="H78" s="2">
        <v>203.161</v>
      </c>
      <c r="I78" s="12">
        <v>635958.86</v>
      </c>
      <c r="J78" s="2">
        <f t="shared" si="13"/>
        <v>424.014</v>
      </c>
      <c r="K78" s="12">
        <f>E78+I78</f>
        <v>1423550.9148610001</v>
      </c>
    </row>
    <row r="79" spans="1:11" s="20" customFormat="1" ht="25.5" customHeight="1">
      <c r="A79" s="15" t="s">
        <v>70</v>
      </c>
      <c r="B79" s="16">
        <f aca="true" t="shared" si="15" ref="B79:I79">SUM(B67:B78)</f>
        <v>0</v>
      </c>
      <c r="C79" s="16">
        <f t="shared" si="15"/>
        <v>0</v>
      </c>
      <c r="D79" s="17">
        <f t="shared" si="15"/>
        <v>2304.052</v>
      </c>
      <c r="E79" s="18">
        <f t="shared" si="15"/>
        <v>7547032.905661</v>
      </c>
      <c r="F79" s="16">
        <f t="shared" si="15"/>
        <v>0</v>
      </c>
      <c r="G79" s="16">
        <f t="shared" si="15"/>
        <v>0</v>
      </c>
      <c r="H79" s="17">
        <f t="shared" si="15"/>
        <v>2734.405</v>
      </c>
      <c r="I79" s="18">
        <f t="shared" si="15"/>
        <v>8317922.8892</v>
      </c>
      <c r="J79" s="17">
        <f>D79+H79</f>
        <v>5038.457</v>
      </c>
      <c r="K79" s="18">
        <f>E79+I79</f>
        <v>15864955.794861</v>
      </c>
    </row>
  </sheetData>
  <sheetProtection selectLockedCells="1" selectUnlockedCells="1"/>
  <printOptions/>
  <pageMargins left="0.3937007874015748" right="0.3937007874015748" top="0.3937007874015748" bottom="0.3937007874015748" header="0.7874015748031497" footer="0.7874015748031497"/>
  <pageSetup firstPageNumber="1" useFirstPageNumber="1" horizontalDpi="300" verticalDpi="300" orientation="landscape" paperSize="9" scale="7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ods</cp:lastModifiedBy>
  <cp:lastPrinted>2017-03-10T07:36:01Z</cp:lastPrinted>
  <dcterms:created xsi:type="dcterms:W3CDTF">2016-03-01T06:39:33Z</dcterms:created>
  <dcterms:modified xsi:type="dcterms:W3CDTF">2019-01-28T05:38:38Z</dcterms:modified>
  <cp:category/>
  <cp:version/>
  <cp:contentType/>
  <cp:contentStatus/>
</cp:coreProperties>
</file>